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13140" yWindow="2760" windowWidth="26260" windowHeight="22820"/>
  </bookViews>
  <sheets>
    <sheet name="Minimum energy" sheetId="1" r:id="rId1"/>
    <sheet name="Inverse Compton" sheetId="2" r:id="rId2"/>
    <sheet name="Sheet3" sheetId="3" r:id="rId3"/>
  </sheets>
  <definedNames>
    <definedName name="a">'Minimum energy'!$I$8</definedName>
    <definedName name="alpha">'Minimum energy'!$E$8</definedName>
    <definedName name="Area">'Minimum energy'!$E$14</definedName>
    <definedName name="B_mag">'Minimum energy'!$B$26</definedName>
    <definedName name="C_1">'Minimum energy'!$I$9</definedName>
    <definedName name="C_2">'Minimum energy'!$I$10</definedName>
    <definedName name="c_E">'Minimum energy'!$E$9</definedName>
    <definedName name="c_light">'Minimum energy'!$B$10</definedName>
    <definedName name="c_P">'Minimum energy'!$E$10</definedName>
    <definedName name="Clog">'Inverse Compton'!$B$10</definedName>
    <definedName name="D">'Minimum energy'!$E$26</definedName>
    <definedName name="Distance">'Minimum energy'!$E$17</definedName>
    <definedName name="e">'Minimum energy'!$B$8</definedName>
    <definedName name="E_B">'Minimum energy'!$B$30</definedName>
    <definedName name="eps_p">'Minimum energy'!$B$33</definedName>
    <definedName name="f">'Minimum energy'!$I$12</definedName>
    <definedName name="F_nu">'Minimum energy'!$E$11</definedName>
    <definedName name="F_nu_IC">'Inverse Compton'!$B$12</definedName>
    <definedName name="F_nu_syn">'Inverse Compton'!$B$11</definedName>
    <definedName name="fa">'Inverse Compton'!$B$4</definedName>
    <definedName name="g_1">'Minimum energy'!$E$21</definedName>
    <definedName name="g_2">'Minimum energy'!$E$22</definedName>
    <definedName name="H0">'Minimum energy'!$E$16</definedName>
    <definedName name="I_nu_2">'Minimum energy'!$I$16</definedName>
    <definedName name="Inu">'Minimum energy'!$I$11</definedName>
    <definedName name="Inu_2">'Minimum energy'!$I$16</definedName>
    <definedName name="L">'Minimum energy'!$E$19</definedName>
    <definedName name="m_e">'Minimum energy'!$B$9</definedName>
    <definedName name="mu_0">'Minimum energy'!$B$11</definedName>
    <definedName name="nu">'Minimum energy'!$E$20</definedName>
    <definedName name="nu_0">'Inverse Compton'!$B$6</definedName>
    <definedName name="nu_1">'Inverse Compton'!$B$5</definedName>
    <definedName name="nu_l">'Inverse Compton'!$B$9</definedName>
    <definedName name="nu_syn">'Inverse Compton'!$B$7</definedName>
    <definedName name="nu_u">'Inverse Compton'!$B$8</definedName>
    <definedName name="Phi">'Minimum energy'!$E$18</definedName>
    <definedName name="r0">'Minimum energy'!$B$12</definedName>
    <definedName name="theta_x">'Minimum energy'!$E$12</definedName>
    <definedName name="theta_y">'Minimum energy'!$E$13</definedName>
    <definedName name="u_nu0">'Inverse Compton'!$B$18</definedName>
    <definedName name="z">'Minimum energy'!$E$15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H26" i="1"/>
  <c r="L8" i="1"/>
  <c r="E26" i="1"/>
  <c r="E28" i="1"/>
  <c r="B11" i="1"/>
  <c r="B26" i="1"/>
  <c r="B30" i="1"/>
  <c r="B33" i="1"/>
  <c r="I12" i="1"/>
  <c r="I11" i="1"/>
  <c r="I10" i="1"/>
  <c r="L9" i="1"/>
  <c r="I8" i="1"/>
  <c r="E14" i="1"/>
  <c r="I9" i="1"/>
  <c r="E17" i="1"/>
  <c r="E19" i="1"/>
  <c r="H19" i="1"/>
  <c r="E20" i="1"/>
  <c r="B36" i="1"/>
  <c r="B27" i="1"/>
  <c r="E27" i="1"/>
  <c r="E30" i="1"/>
  <c r="B31" i="1"/>
  <c r="E31" i="1"/>
  <c r="E33" i="1"/>
  <c r="B34" i="1"/>
  <c r="E34" i="1"/>
  <c r="E36" i="1"/>
  <c r="B37" i="1"/>
  <c r="E37" i="1"/>
  <c r="B4" i="2"/>
  <c r="B5" i="2"/>
  <c r="B10" i="2"/>
  <c r="B11" i="2"/>
  <c r="B12" i="2"/>
  <c r="B14" i="2"/>
  <c r="B17" i="2"/>
  <c r="B18" i="2"/>
  <c r="B21" i="2"/>
  <c r="B22" i="2"/>
  <c r="B23" i="2"/>
</calcChain>
</file>

<file path=xl/sharedStrings.xml><?xml version="1.0" encoding="utf-8"?>
<sst xmlns="http://schemas.openxmlformats.org/spreadsheetml/2006/main" count="94" uniqueCount="80">
  <si>
    <t>Template for calculating minimum energy and magnetic field</t>
  </si>
  <si>
    <t>Fundamental constants</t>
  </si>
  <si>
    <t>e</t>
  </si>
  <si>
    <t>m_e</t>
  </si>
  <si>
    <t>c</t>
  </si>
  <si>
    <t>alpha</t>
  </si>
  <si>
    <t>c_E</t>
  </si>
  <si>
    <t>I_nu</t>
  </si>
  <si>
    <t>L</t>
  </si>
  <si>
    <t>a</t>
  </si>
  <si>
    <t>C1</t>
  </si>
  <si>
    <t>C2</t>
  </si>
  <si>
    <t>B_min</t>
  </si>
  <si>
    <t>nu</t>
  </si>
  <si>
    <t>gamma_1</t>
  </si>
  <si>
    <t>gamma_2</t>
  </si>
  <si>
    <t>f(a,g1,g2)</t>
  </si>
  <si>
    <t>Tesla</t>
  </si>
  <si>
    <t>Gauss</t>
  </si>
  <si>
    <t>E_B</t>
  </si>
  <si>
    <t>mu_0</t>
  </si>
  <si>
    <t>J/m^3</t>
  </si>
  <si>
    <t>eps_p</t>
  </si>
  <si>
    <t>ergs/cm^3</t>
  </si>
  <si>
    <t>eps_tot</t>
  </si>
  <si>
    <t>ln(C1(a))</t>
  </si>
  <si>
    <t>ln(C2(a))</t>
  </si>
  <si>
    <t>kpc</t>
  </si>
  <si>
    <t>theta_x</t>
  </si>
  <si>
    <t>arcsec</t>
  </si>
  <si>
    <t>theta_y</t>
  </si>
  <si>
    <t>Beam Area</t>
  </si>
  <si>
    <t>Flux per beam</t>
  </si>
  <si>
    <t>Redshift</t>
  </si>
  <si>
    <t>Ho</t>
  </si>
  <si>
    <t>km/s/Mpc</t>
  </si>
  <si>
    <t>Distance</t>
  </si>
  <si>
    <t>Mpc</t>
  </si>
  <si>
    <t>Hz</t>
  </si>
  <si>
    <t>Jy</t>
  </si>
  <si>
    <t>Str</t>
  </si>
  <si>
    <t>m</t>
  </si>
  <si>
    <t>W/m^2/Hz/Sr</t>
  </si>
  <si>
    <t>Input parameters in red</t>
  </si>
  <si>
    <t>Derived parameters in blue</t>
  </si>
  <si>
    <t>C</t>
  </si>
  <si>
    <t>kg</t>
  </si>
  <si>
    <t>m/s</t>
  </si>
  <si>
    <t>Phi</t>
  </si>
  <si>
    <t>c_P</t>
  </si>
  <si>
    <t>Minimum energy densities</t>
  </si>
  <si>
    <t>Minimum pressures</t>
  </si>
  <si>
    <t>P_part</t>
  </si>
  <si>
    <t>P_tot</t>
  </si>
  <si>
    <t>P_B</t>
  </si>
  <si>
    <t>N/m^2</t>
  </si>
  <si>
    <t>dynes/cm^2</t>
  </si>
  <si>
    <t>Joules</t>
  </si>
  <si>
    <t>r0</t>
  </si>
  <si>
    <t>INVERSE COMPTON CALCULATION</t>
  </si>
  <si>
    <t>nu_1 =</t>
  </si>
  <si>
    <t>f(a) =</t>
  </si>
  <si>
    <t>nu_u</t>
  </si>
  <si>
    <t>nu_l</t>
  </si>
  <si>
    <t>nu_syn =</t>
  </si>
  <si>
    <t>F_nu_syn</t>
  </si>
  <si>
    <t>F_nu_IC</t>
  </si>
  <si>
    <t>Compton logarithm</t>
  </si>
  <si>
    <t>Omega_0</t>
  </si>
  <si>
    <t>u_nu0</t>
  </si>
  <si>
    <t>B_x for nu_0 (arcsec)</t>
  </si>
  <si>
    <t>B_y for nu_0 (arcesc)</t>
  </si>
  <si>
    <t>I_nu0</t>
  </si>
  <si>
    <t>B (Tesla)</t>
  </si>
  <si>
    <t>B (Gauss)</t>
  </si>
  <si>
    <t>nu_0 =</t>
  </si>
  <si>
    <t>F_nu_0/beam (peak) (jy/beam)</t>
  </si>
  <si>
    <t>This calculation is for the Western hot spot of Pictor A</t>
  </si>
  <si>
    <t>using formulae derived in lectures</t>
  </si>
  <si>
    <t>Total energy = Energy density x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</si>
</sst>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"/>
  </numFmts>
  <fonts count="13" x14ac:knownFonts="1">
    <font>
      <sz val="9"/>
      <name val="Geneva"/>
    </font>
    <font>
      <b/>
      <sz val="12"/>
      <name val="Geneva"/>
    </font>
    <font>
      <sz val="12"/>
      <name val="Geneva"/>
    </font>
    <font>
      <sz val="12"/>
      <color indexed="10"/>
      <name val="Geneva"/>
    </font>
    <font>
      <sz val="12"/>
      <color indexed="12"/>
      <name val="Geneva"/>
    </font>
    <font>
      <sz val="12"/>
      <color indexed="57"/>
      <name val="Geneva"/>
    </font>
    <font>
      <sz val="12"/>
      <color indexed="48"/>
      <name val="Geneva"/>
    </font>
    <font>
      <b/>
      <sz val="12"/>
      <color indexed="10"/>
      <name val="Geneva"/>
    </font>
    <font>
      <b/>
      <sz val="12"/>
      <color indexed="12"/>
      <name val="Geneva"/>
    </font>
    <font>
      <sz val="10"/>
      <name val="Geneva"/>
    </font>
    <font>
      <sz val="10"/>
      <color indexed="10"/>
      <name val="Geneva"/>
    </font>
    <font>
      <b/>
      <sz val="12"/>
      <color rgb="FF660066"/>
      <name val="Geneva"/>
    </font>
    <font>
      <sz val="12"/>
      <color rgb="FF660066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1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1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1" fontId="9" fillId="0" borderId="0" xfId="0" applyNumberFormat="1" applyFont="1"/>
    <xf numFmtId="11" fontId="10" fillId="0" borderId="0" xfId="0" applyNumberFormat="1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11" fontId="1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B16" sqref="B16"/>
    </sheetView>
  </sheetViews>
  <sheetFormatPr baseColWidth="10" defaultRowHeight="16" x14ac:dyDescent="0"/>
  <cols>
    <col min="1" max="1" width="9.1640625" style="2" customWidth="1"/>
    <col min="2" max="2" width="15.5" style="2" bestFit="1" customWidth="1"/>
    <col min="3" max="3" width="12.33203125" style="2" customWidth="1"/>
    <col min="4" max="4" width="15.5" style="2" customWidth="1"/>
    <col min="5" max="5" width="13.6640625" style="2" customWidth="1"/>
    <col min="6" max="6" width="11.6640625" style="4" customWidth="1"/>
    <col min="7" max="7" width="3.33203125" style="4" customWidth="1"/>
    <col min="8" max="8" width="15.5" style="2" bestFit="1" customWidth="1"/>
    <col min="9" max="9" width="12.5" style="2" customWidth="1"/>
    <col min="10" max="10" width="15" style="2" customWidth="1"/>
    <col min="11" max="16384" width="10.83203125" style="2"/>
  </cols>
  <sheetData>
    <row r="2" spans="1:12">
      <c r="B2" s="1" t="s">
        <v>0</v>
      </c>
    </row>
    <row r="3" spans="1:12">
      <c r="B3" s="1" t="s">
        <v>78</v>
      </c>
    </row>
    <row r="4" spans="1:12">
      <c r="B4" s="2" t="s">
        <v>77</v>
      </c>
    </row>
    <row r="6" spans="1:12">
      <c r="A6" s="18" t="s">
        <v>1</v>
      </c>
      <c r="B6" s="18"/>
      <c r="D6" s="13" t="s">
        <v>43</v>
      </c>
      <c r="E6" s="1"/>
      <c r="H6" s="14" t="s">
        <v>44</v>
      </c>
      <c r="K6" s="1"/>
    </row>
    <row r="7" spans="1:12">
      <c r="A7" s="19"/>
      <c r="B7" s="19"/>
    </row>
    <row r="8" spans="1:12">
      <c r="A8" s="19" t="s">
        <v>2</v>
      </c>
      <c r="B8" s="20">
        <v>1.602E-19</v>
      </c>
      <c r="C8" s="4" t="s">
        <v>45</v>
      </c>
      <c r="D8" s="2" t="s">
        <v>5</v>
      </c>
      <c r="E8" s="5">
        <v>0.7</v>
      </c>
      <c r="H8" s="4" t="s">
        <v>9</v>
      </c>
      <c r="I8" s="7">
        <f>2*E8+1</f>
        <v>2.4</v>
      </c>
      <c r="K8" s="2" t="s">
        <v>25</v>
      </c>
      <c r="L8" s="7">
        <f>a/2*LN(3)-(a+7)/2*LN(2)-(a+3)/2*LN(PI())+GAMMALN(a/4+19/12)+GAMMALN(a/4-1/12)-LN(a+1)</f>
        <v>-5.625734908641074</v>
      </c>
    </row>
    <row r="9" spans="1:12">
      <c r="A9" s="19" t="s">
        <v>3</v>
      </c>
      <c r="B9" s="20">
        <v>9.1100000000000003E-31</v>
      </c>
      <c r="C9" s="4" t="s">
        <v>46</v>
      </c>
      <c r="D9" s="2" t="s">
        <v>6</v>
      </c>
      <c r="E9" s="5">
        <v>0</v>
      </c>
      <c r="H9" s="4" t="s">
        <v>10</v>
      </c>
      <c r="I9" s="8">
        <f>EXP(L8)</f>
        <v>3.6039136152995767E-3</v>
      </c>
      <c r="K9" s="2" t="s">
        <v>26</v>
      </c>
      <c r="L9" s="7">
        <f>a/2*LN(3)-(a+13)/2*LN(2)-(a+2)/2*LN(PI())+GAMMALN(a/4+1/4)+GAMMALN(a/4+19/12)+GAMMALN(a/4-1/12)-GAMMALN(a/4+7/4)</f>
        <v>-5.9873046543938697</v>
      </c>
    </row>
    <row r="10" spans="1:12">
      <c r="A10" s="19" t="s">
        <v>4</v>
      </c>
      <c r="B10" s="20">
        <v>299800000</v>
      </c>
      <c r="C10" s="4" t="s">
        <v>47</v>
      </c>
      <c r="D10" s="2" t="s">
        <v>49</v>
      </c>
      <c r="E10" s="5">
        <v>0</v>
      </c>
      <c r="H10" s="4" t="s">
        <v>11</v>
      </c>
      <c r="I10" s="8">
        <f>EXP(L9)</f>
        <v>2.5104213926947934E-3</v>
      </c>
    </row>
    <row r="11" spans="1:12">
      <c r="A11" s="19" t="s">
        <v>20</v>
      </c>
      <c r="B11" s="20">
        <f>4*PI()*0.0000001</f>
        <v>1.2566370614359173E-6</v>
      </c>
      <c r="C11" s="4"/>
      <c r="D11" s="2" t="s">
        <v>32</v>
      </c>
      <c r="E11" s="6">
        <v>0.94</v>
      </c>
      <c r="F11" s="4" t="s">
        <v>39</v>
      </c>
      <c r="H11" s="4" t="s">
        <v>7</v>
      </c>
      <c r="I11" s="8">
        <f>F_nu*1E-26/Area</f>
        <v>1.5686685210622233E-16</v>
      </c>
      <c r="J11" s="2" t="s">
        <v>42</v>
      </c>
    </row>
    <row r="12" spans="1:12">
      <c r="A12" s="19" t="s">
        <v>58</v>
      </c>
      <c r="B12" s="21">
        <v>2.818E-15</v>
      </c>
      <c r="D12" s="2" t="s">
        <v>28</v>
      </c>
      <c r="E12" s="6">
        <v>1.5</v>
      </c>
      <c r="F12" s="4" t="s">
        <v>29</v>
      </c>
      <c r="H12" s="2" t="s">
        <v>16</v>
      </c>
      <c r="I12" s="9">
        <f>(1-(g_2/g_1)^(-a+2))/(a-2)*g_1^(-a+2)</f>
        <v>0.38011344774084721</v>
      </c>
    </row>
    <row r="13" spans="1:12">
      <c r="D13" s="2" t="s">
        <v>30</v>
      </c>
      <c r="E13" s="6">
        <v>1.5</v>
      </c>
      <c r="F13" s="4" t="s">
        <v>29</v>
      </c>
    </row>
    <row r="14" spans="1:12">
      <c r="D14" s="2" t="s">
        <v>31</v>
      </c>
      <c r="E14" s="7">
        <f>PI()/(4*LN(2))*theta_x*theta_y*(PI()/180/3600)^2</f>
        <v>5.9923431074111139E-11</v>
      </c>
      <c r="F14" s="4" t="s">
        <v>40</v>
      </c>
      <c r="H14" s="5"/>
      <c r="I14" s="11"/>
    </row>
    <row r="15" spans="1:12">
      <c r="D15" s="2" t="s">
        <v>33</v>
      </c>
      <c r="E15" s="5">
        <v>3.4200000000000001E-2</v>
      </c>
      <c r="I15" s="5"/>
    </row>
    <row r="16" spans="1:12">
      <c r="D16" s="2" t="s">
        <v>34</v>
      </c>
      <c r="E16" s="5">
        <v>70</v>
      </c>
      <c r="F16" s="4" t="s">
        <v>35</v>
      </c>
      <c r="I16" s="12"/>
    </row>
    <row r="17" spans="1:9">
      <c r="D17" s="2" t="s">
        <v>36</v>
      </c>
      <c r="E17" s="10">
        <f>c_light/1000*z/H0</f>
        <v>146.47371428571429</v>
      </c>
      <c r="F17" s="4" t="s">
        <v>37</v>
      </c>
    </row>
    <row r="18" spans="1:9">
      <c r="D18" s="2" t="s">
        <v>48</v>
      </c>
      <c r="E18" s="6">
        <v>1.9</v>
      </c>
      <c r="F18" s="4" t="s">
        <v>29</v>
      </c>
    </row>
    <row r="19" spans="1:9">
      <c r="D19" s="2" t="s">
        <v>8</v>
      </c>
      <c r="E19" s="7">
        <f>Distance*3.086E+22*Phi*PI()/180/3600</f>
        <v>4.1637446153272074E+19</v>
      </c>
      <c r="F19" s="4" t="s">
        <v>41</v>
      </c>
      <c r="H19" s="3">
        <f>L/30860000000000000000</f>
        <v>1.3492367515642278</v>
      </c>
      <c r="I19" s="4" t="s">
        <v>27</v>
      </c>
    </row>
    <row r="20" spans="1:9">
      <c r="D20" s="2" t="s">
        <v>13</v>
      </c>
      <c r="E20" s="6">
        <f>c_light/0.036</f>
        <v>8327777777.7777786</v>
      </c>
      <c r="F20" s="4" t="s">
        <v>38</v>
      </c>
    </row>
    <row r="21" spans="1:9">
      <c r="D21" s="2" t="s">
        <v>14</v>
      </c>
      <c r="E21" s="5">
        <v>100</v>
      </c>
    </row>
    <row r="22" spans="1:9">
      <c r="D22" s="2" t="s">
        <v>15</v>
      </c>
      <c r="E22" s="6">
        <v>300000</v>
      </c>
    </row>
    <row r="23" spans="1:9">
      <c r="E23" s="6"/>
    </row>
    <row r="24" spans="1:9">
      <c r="A24" s="1" t="s">
        <v>50</v>
      </c>
      <c r="D24" s="1" t="s">
        <v>51</v>
      </c>
      <c r="H24" s="1" t="s">
        <v>79</v>
      </c>
    </row>
    <row r="25" spans="1:9">
      <c r="G25" s="2"/>
    </row>
    <row r="26" spans="1:9">
      <c r="A26" s="2" t="s">
        <v>12</v>
      </c>
      <c r="B26" s="3">
        <f>m_e/e*((a+1)/2*(1+c_E) / C_2 * c_light/m_e * Inu * nu^alpha/L * f)^(2/(a+5))</f>
        <v>1.3160541992486418E-8</v>
      </c>
      <c r="C26" s="2" t="s">
        <v>17</v>
      </c>
      <c r="D26" s="2" t="s">
        <v>12</v>
      </c>
      <c r="E26" s="3">
        <f>((1+c_P)/3/(1+c_E))^(2/(a+5))*B_mag</f>
        <v>9.7796223590577238E-9</v>
      </c>
      <c r="F26" s="2" t="s">
        <v>17</v>
      </c>
      <c r="G26" s="2"/>
      <c r="H26" s="3">
        <f>PI()/6*B36*L^3</f>
        <v>5.6690641055358029E+48</v>
      </c>
      <c r="I26" s="2" t="s">
        <v>57</v>
      </c>
    </row>
    <row r="27" spans="1:9">
      <c r="B27" s="3">
        <f>B26*10000</f>
        <v>1.3160541992486419E-4</v>
      </c>
      <c r="C27" s="2" t="s">
        <v>18</v>
      </c>
      <c r="E27" s="3">
        <f>D*10000</f>
        <v>9.7796223590577243E-5</v>
      </c>
      <c r="F27" s="2" t="s">
        <v>18</v>
      </c>
      <c r="G27" s="2"/>
    </row>
    <row r="28" spans="1:9">
      <c r="A28" s="2" t="s">
        <v>62</v>
      </c>
      <c r="B28" s="3">
        <f>3/4/PI()*e*B_mag/m_e*g_2^2</f>
        <v>49724658616762.172</v>
      </c>
      <c r="E28" s="3">
        <f>3/4/PI()*e*D/m_e*g_2^2</f>
        <v>36950483003103.523</v>
      </c>
      <c r="F28" s="2"/>
      <c r="G28" s="2"/>
    </row>
    <row r="29" spans="1:9">
      <c r="B29" s="3"/>
      <c r="E29" s="3"/>
      <c r="F29" s="2"/>
      <c r="G29" s="2"/>
    </row>
    <row r="30" spans="1:9">
      <c r="A30" s="2" t="s">
        <v>19</v>
      </c>
      <c r="B30" s="3">
        <f>B_mag^2/(2*mu_0)</f>
        <v>6.8914036857264371E-11</v>
      </c>
      <c r="C30" s="2" t="s">
        <v>21</v>
      </c>
      <c r="D30" s="2" t="s">
        <v>54</v>
      </c>
      <c r="E30" s="3">
        <f>D^2/2/mu_0</f>
        <v>3.8054350146451976E-11</v>
      </c>
      <c r="F30" s="2" t="s">
        <v>55</v>
      </c>
      <c r="G30" s="2"/>
    </row>
    <row r="31" spans="1:9">
      <c r="B31" s="3">
        <f>E_B*10</f>
        <v>6.8914036857264376E-10</v>
      </c>
      <c r="C31" s="2" t="s">
        <v>23</v>
      </c>
      <c r="E31" s="3">
        <f>E30*10</f>
        <v>3.8054350146451975E-10</v>
      </c>
      <c r="F31" s="2" t="s">
        <v>56</v>
      </c>
    </row>
    <row r="32" spans="1:9">
      <c r="B32" s="3"/>
      <c r="E32" s="3"/>
      <c r="F32" s="2"/>
    </row>
    <row r="33" spans="1:6">
      <c r="A33" s="2" t="s">
        <v>22</v>
      </c>
      <c r="B33" s="3">
        <f>4/(a+1)*E_B</f>
        <v>8.1075337479134556E-11</v>
      </c>
      <c r="C33" s="2" t="s">
        <v>21</v>
      </c>
      <c r="D33" s="2" t="s">
        <v>52</v>
      </c>
      <c r="E33" s="3">
        <f>4/(a+1)*E30</f>
        <v>4.4769823701708208E-11</v>
      </c>
      <c r="F33" s="2" t="s">
        <v>55</v>
      </c>
    </row>
    <row r="34" spans="1:6">
      <c r="B34" s="3">
        <f>B33*10</f>
        <v>8.1075337479134551E-10</v>
      </c>
      <c r="C34" s="2" t="s">
        <v>23</v>
      </c>
      <c r="E34" s="3">
        <f>E33*10</f>
        <v>4.4769823701708211E-10</v>
      </c>
      <c r="F34" s="2" t="s">
        <v>56</v>
      </c>
    </row>
    <row r="35" spans="1:6">
      <c r="B35" s="3"/>
      <c r="E35" s="3"/>
      <c r="F35" s="2"/>
    </row>
    <row r="36" spans="1:6">
      <c r="A36" s="2" t="s">
        <v>24</v>
      </c>
      <c r="B36" s="3">
        <f>E_B+eps_p</f>
        <v>1.4998937433639893E-10</v>
      </c>
      <c r="C36" s="2" t="s">
        <v>21</v>
      </c>
      <c r="D36" s="2" t="s">
        <v>53</v>
      </c>
      <c r="E36" s="3">
        <f>E33+E30</f>
        <v>8.2824173848160191E-11</v>
      </c>
      <c r="F36" s="2" t="s">
        <v>55</v>
      </c>
    </row>
    <row r="37" spans="1:6">
      <c r="B37" s="3">
        <f>B36*10</f>
        <v>1.4998937433639893E-9</v>
      </c>
      <c r="C37" s="2" t="s">
        <v>23</v>
      </c>
      <c r="E37" s="3">
        <f>E36*10</f>
        <v>8.2824173848160196E-10</v>
      </c>
      <c r="F37" s="2" t="s">
        <v>56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65" sqref="C65"/>
    </sheetView>
  </sheetViews>
  <sheetFormatPr baseColWidth="10" defaultRowHeight="13" x14ac:dyDescent="0"/>
  <cols>
    <col min="1" max="1" width="28" style="15" customWidth="1"/>
    <col min="2" max="2" width="15.5" style="16" customWidth="1"/>
    <col min="3" max="3" width="12.33203125" style="15" customWidth="1"/>
    <col min="4" max="4" width="15.5" style="15" customWidth="1"/>
    <col min="5" max="5" width="13.6640625" style="15" customWidth="1"/>
    <col min="6" max="6" width="11.6640625" style="15" customWidth="1"/>
    <col min="7" max="7" width="3.33203125" style="15" customWidth="1"/>
    <col min="8" max="8" width="10.83203125" style="15"/>
    <col min="9" max="9" width="12.5" style="15" customWidth="1"/>
    <col min="10" max="10" width="15" style="15" customWidth="1"/>
    <col min="11" max="16384" width="10.83203125" style="15"/>
  </cols>
  <sheetData>
    <row r="2" spans="1:2">
      <c r="B2" s="16" t="s">
        <v>59</v>
      </c>
    </row>
    <row r="4" spans="1:2">
      <c r="A4" s="15" t="s">
        <v>61</v>
      </c>
      <c r="B4" s="16">
        <f>3*2^(a-2)*(a^2+4*a+11)/(PI()*(a+1)*(a+3)^2*(a+5))</f>
        <v>4.5272098912465725E-2</v>
      </c>
    </row>
    <row r="5" spans="1:2">
      <c r="A5" s="15" t="s">
        <v>60</v>
      </c>
      <c r="B5" s="17">
        <f>10^17.6</f>
        <v>3.9810717055350106E+17</v>
      </c>
    </row>
    <row r="6" spans="1:2">
      <c r="A6" s="15" t="s">
        <v>75</v>
      </c>
      <c r="B6" s="17">
        <v>15000000000</v>
      </c>
    </row>
    <row r="7" spans="1:2">
      <c r="A7" s="15" t="s">
        <v>64</v>
      </c>
      <c r="B7" s="17">
        <v>15000000000</v>
      </c>
    </row>
    <row r="8" spans="1:2">
      <c r="A8" s="15" t="s">
        <v>62</v>
      </c>
      <c r="B8" s="17">
        <v>100000000000000</v>
      </c>
    </row>
    <row r="9" spans="1:2">
      <c r="A9" s="15" t="s">
        <v>63</v>
      </c>
      <c r="B9" s="17">
        <v>10000000</v>
      </c>
    </row>
    <row r="10" spans="1:2">
      <c r="A10" s="15" t="s">
        <v>67</v>
      </c>
      <c r="B10" s="16">
        <f>LN(nu_u/nu_l)</f>
        <v>16.11809565095832</v>
      </c>
    </row>
    <row r="11" spans="1:2">
      <c r="A11" s="15" t="s">
        <v>65</v>
      </c>
      <c r="B11" s="17">
        <f>0.0588*1E-26</f>
        <v>5.8799999999999998E-28</v>
      </c>
    </row>
    <row r="12" spans="1:2">
      <c r="A12" s="15" t="s">
        <v>66</v>
      </c>
      <c r="B12" s="17">
        <f>8700000000*1E-26/10^17.6</f>
        <v>2.1853411954133141E-34</v>
      </c>
    </row>
    <row r="14" spans="1:2">
      <c r="A14" s="15" t="s">
        <v>76</v>
      </c>
      <c r="B14" s="17">
        <f>0.0588</f>
        <v>5.8799999999999998E-2</v>
      </c>
    </row>
    <row r="15" spans="1:2">
      <c r="A15" s="15" t="s">
        <v>70</v>
      </c>
      <c r="B15" s="17">
        <v>4.4999999999999998E-2</v>
      </c>
    </row>
    <row r="16" spans="1:2">
      <c r="A16" s="15" t="s">
        <v>71</v>
      </c>
      <c r="B16" s="17">
        <v>0.09</v>
      </c>
    </row>
    <row r="17" spans="1:2">
      <c r="A17" s="15" t="s">
        <v>72</v>
      </c>
      <c r="B17" s="16">
        <f>B14/(0.0000000000266*B15*B16)*1E-26</f>
        <v>5.4580896686159849E-15</v>
      </c>
    </row>
    <row r="18" spans="1:2">
      <c r="A18" s="15" t="s">
        <v>69</v>
      </c>
      <c r="B18" s="16">
        <f>2*PI()*B17/c_light</f>
        <v>1.1439022285229037E-22</v>
      </c>
    </row>
    <row r="21" spans="1:2">
      <c r="A21" s="15" t="s">
        <v>68</v>
      </c>
      <c r="B21" s="16">
        <f>(0.5 * r0/m_e * fa /C_2 * (nu_1/nu)^(-alpha) * nu_0^alpha * u_nu0 * Clog * F_nu_syn/F_nu_IC)^(2/(a+1))</f>
        <v>193.84467759972242</v>
      </c>
    </row>
    <row r="22" spans="1:2">
      <c r="A22" s="15" t="s">
        <v>73</v>
      </c>
      <c r="B22" s="16">
        <f>m_e/e*B21</f>
        <v>1.1023252265502318E-9</v>
      </c>
    </row>
    <row r="23" spans="1:2">
      <c r="A23" s="15" t="s">
        <v>74</v>
      </c>
      <c r="B23" s="16">
        <f>B22*10000</f>
        <v>1.1023252265502318E-5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Minimum energy</vt:lpstr>
      <vt:lpstr>Inverse Compton</vt:lpstr>
      <vt:lpstr>Sheet3</vt:lpstr>
    </vt:vector>
  </TitlesOfParts>
  <Company>MSSSO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Bicknell</dc:creator>
  <cp:lastModifiedBy>Geoffrey Bicknell</cp:lastModifiedBy>
  <dcterms:created xsi:type="dcterms:W3CDTF">2000-03-25T04:11:28Z</dcterms:created>
  <dcterms:modified xsi:type="dcterms:W3CDTF">2015-03-24T05:12:53Z</dcterms:modified>
</cp:coreProperties>
</file>